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charts/chart1.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2" autoFilterDateGrouping="1"/>
  </bookViews>
  <sheets>
    <sheet xmlns:r="http://schemas.openxmlformats.org/officeDocument/2006/relationships" name="عن المجلة" sheetId="1" state="visible" r:id="rId1"/>
    <sheet xmlns:r="http://schemas.openxmlformats.org/officeDocument/2006/relationships" name="تعليمات" sheetId="2" state="visible" r:id="rId2"/>
    <sheet xmlns:r="http://schemas.openxmlformats.org/officeDocument/2006/relationships" name="الافتراضات" sheetId="3" state="visible" r:id="rId3"/>
    <sheet xmlns:r="http://schemas.openxmlformats.org/officeDocument/2006/relationships" name="الشهور" sheetId="4" state="visible" r:id="rId4"/>
  </sheets>
  <definedNames>
    <definedName name="_xlnm.Print_Area" localSheetId="3">'الشهور'!$A$1:$H$45</definedName>
  </definedNames>
  <calcPr calcId="124519" fullCalcOnLoad="1"/>
</workbook>
</file>

<file path=xl/styles.xml><?xml version="1.0" encoding="utf-8"?>
<styleSheet xmlns="http://schemas.openxmlformats.org/spreadsheetml/2006/main">
  <numFmts count="2">
    <numFmt numFmtId="164" formatCode="#,##0;[Red]-#,##0"/>
    <numFmt numFmtId="165" formatCode="0.0%"/>
  </numFmts>
  <fonts count="17">
    <font>
      <name val="Calibri"/>
      <family val="2"/>
      <color theme="1"/>
      <sz val="11"/>
      <scheme val="minor"/>
    </font>
    <font>
      <name val="Arial"/>
      <b val="1"/>
      <color rgb="00FFFFFF"/>
      <sz val="24"/>
    </font>
    <font>
      <name val="Arial"/>
      <b val="1"/>
      <color rgb="00B08D57"/>
      <sz val="14"/>
    </font>
    <font>
      <name val="Arial"/>
      <b val="1"/>
      <color rgb="0014213D"/>
      <sz val="14"/>
    </font>
    <font>
      <name val="Arial"/>
      <color rgb="00000000"/>
      <sz val="12"/>
    </font>
    <font>
      <name val="Arial"/>
      <color rgb="000563C1"/>
      <sz val="12"/>
    </font>
    <font>
      <name val="Arial"/>
      <i val="1"/>
      <color rgb="00595959"/>
      <sz val="11"/>
    </font>
    <font>
      <name val="Arial"/>
      <b val="1"/>
      <color rgb="00FFFFFF"/>
      <sz val="18"/>
    </font>
    <font>
      <name val="Arial"/>
      <b val="1"/>
      <color rgb="0014213D"/>
      <sz val="13"/>
    </font>
    <font>
      <name val="Arial"/>
      <b val="1"/>
      <color rgb="00B08D57"/>
      <sz val="11"/>
    </font>
    <font>
      <name val="Arial"/>
      <color rgb="00000000"/>
      <sz val="11"/>
    </font>
    <font>
      <name val="Arial"/>
      <i val="1"/>
      <color rgb="00595959"/>
      <sz val="10"/>
    </font>
    <font>
      <name val="Arial"/>
      <color rgb="000563C1"/>
      <sz val="10"/>
    </font>
    <font>
      <name val="Arial"/>
      <b val="1"/>
      <color rgb="0014213D"/>
      <sz val="16"/>
    </font>
    <font>
      <name val="Arial"/>
      <b val="1"/>
      <color rgb="00000000"/>
      <sz val="11"/>
    </font>
    <font>
      <name val="Arial"/>
      <b val="1"/>
      <color rgb="00FFFFFF"/>
      <sz val="11"/>
    </font>
    <font>
      <name val="Arial"/>
      <color rgb="00FFFFFF"/>
      <sz val="8"/>
    </font>
  </fonts>
  <fills count="5">
    <fill>
      <patternFill/>
    </fill>
    <fill>
      <patternFill patternType="gray125"/>
    </fill>
    <fill>
      <patternFill patternType="solid">
        <fgColor rgb="0014213D"/>
      </patternFill>
    </fill>
    <fill>
      <patternFill patternType="solid">
        <fgColor rgb="00B08D57"/>
      </patternFill>
    </fill>
    <fill>
      <patternFill patternType="solid">
        <fgColor rgb="00FFF2CC"/>
      </patternFill>
    </fill>
  </fills>
  <borders count="3">
    <border>
      <left/>
      <right/>
      <top/>
      <bottom/>
      <diagonal/>
    </border>
    <border>
      <bottom style="medium">
        <color rgb="00B08D57"/>
      </bottom>
    </border>
    <border>
      <left style="thin">
        <color rgb="00C9CDD4"/>
      </left>
      <right style="thin">
        <color rgb="00C9CDD4"/>
      </right>
      <top style="thin">
        <color rgb="00C9CDD4"/>
      </top>
      <bottom style="thin">
        <color rgb="00C9CDD4"/>
      </bottom>
    </border>
  </borders>
  <cellStyleXfs count="1">
    <xf numFmtId="0" fontId="0" fillId="0" borderId="0"/>
  </cellStyleXfs>
  <cellXfs count="29">
    <xf numFmtId="0" fontId="0" fillId="0" borderId="0" pivotButton="0" quotePrefix="0" xfId="0"/>
    <xf numFmtId="0" fontId="1" fillId="2" borderId="0" applyAlignment="1" pivotButton="0" quotePrefix="0" xfId="0">
      <alignment horizontal="center" vertical="center" wrapText="1"/>
    </xf>
    <xf numFmtId="0" fontId="2" fillId="0" borderId="0" applyAlignment="1" pivotButton="0" quotePrefix="0" xfId="0">
      <alignment horizontal="center" vertical="center" wrapText="1"/>
    </xf>
    <xf numFmtId="0" fontId="0" fillId="0" borderId="0" applyAlignment="1" pivotButton="0" quotePrefix="0" xfId="0">
      <alignment horizontal="right" vertical="center" wrapText="1"/>
    </xf>
    <xf numFmtId="0" fontId="3" fillId="0" borderId="0" applyAlignment="1" pivotButton="0" quotePrefix="0" xfId="0">
      <alignment horizontal="right" vertical="center" wrapText="1"/>
    </xf>
    <xf numFmtId="0" fontId="4" fillId="0" borderId="0" applyAlignment="1" pivotButton="0" quotePrefix="0" xfId="0">
      <alignment horizontal="right" vertical="center" wrapText="1"/>
    </xf>
    <xf numFmtId="0" fontId="5" fillId="0" borderId="0" applyAlignment="1" pivotButton="0" quotePrefix="0" xfId="0">
      <alignment horizontal="right" vertical="center" wrapText="1"/>
    </xf>
    <xf numFmtId="0" fontId="6" fillId="0" borderId="0" applyAlignment="1" pivotButton="0" quotePrefix="0" xfId="0">
      <alignment horizontal="right" vertical="center" wrapText="1"/>
    </xf>
    <xf numFmtId="0" fontId="7" fillId="2" borderId="0" applyAlignment="1" pivotButton="0" quotePrefix="0" xfId="0">
      <alignment horizontal="center" vertical="center"/>
    </xf>
    <xf numFmtId="0" fontId="0" fillId="3" borderId="0" pivotButton="0" quotePrefix="0" xfId="0"/>
    <xf numFmtId="0" fontId="8" fillId="0" borderId="0" pivotButton="0" quotePrefix="0" xfId="0"/>
    <xf numFmtId="0" fontId="9" fillId="0" borderId="0" pivotButton="0" quotePrefix="0" xfId="0"/>
    <xf numFmtId="0" fontId="10" fillId="0" borderId="0" applyAlignment="1" pivotButton="0" quotePrefix="0" xfId="0">
      <alignment horizontal="right" vertical="top" wrapText="1"/>
    </xf>
    <xf numFmtId="0" fontId="11" fillId="0" borderId="0" applyAlignment="1" pivotButton="0" quotePrefix="0" xfId="0">
      <alignment wrapText="1"/>
    </xf>
    <xf numFmtId="0" fontId="12" fillId="0" borderId="0" pivotButton="0" quotePrefix="0" xfId="0"/>
    <xf numFmtId="0" fontId="13" fillId="0" borderId="1" applyAlignment="1" pivotButton="0" quotePrefix="0" xfId="0">
      <alignment horizontal="center" vertical="center"/>
    </xf>
    <xf numFmtId="0" fontId="0" fillId="0" borderId="1" pivotButton="0" quotePrefix="0" xfId="0"/>
    <xf numFmtId="0" fontId="11" fillId="0" borderId="0" applyAlignment="1" pivotButton="0" quotePrefix="0" xfId="0">
      <alignment horizontal="right" vertical="center" wrapText="1"/>
    </xf>
    <xf numFmtId="0" fontId="14" fillId="0" borderId="2" applyAlignment="1" pivotButton="0" quotePrefix="0" xfId="0">
      <alignment horizontal="right" vertical="center" wrapText="1"/>
    </xf>
    <xf numFmtId="164" fontId="10" fillId="4" borderId="2" applyAlignment="1" applyProtection="1" pivotButton="0" quotePrefix="0" xfId="0">
      <alignment horizontal="center" vertical="center"/>
      <protection locked="0" hidden="0"/>
    </xf>
    <xf numFmtId="165" fontId="10" fillId="4" borderId="2" applyAlignment="1" applyProtection="1" pivotButton="0" quotePrefix="0" xfId="0">
      <alignment horizontal="center" vertical="center"/>
      <protection locked="0" hidden="0"/>
    </xf>
    <xf numFmtId="1" fontId="10" fillId="4" borderId="2" applyAlignment="1" applyProtection="1" pivotButton="0" quotePrefix="0" xfId="0">
      <alignment horizontal="center" vertical="center"/>
      <protection locked="0" hidden="0"/>
    </xf>
    <xf numFmtId="0" fontId="10" fillId="0" borderId="2" applyAlignment="1" pivotButton="0" quotePrefix="0" xfId="0">
      <alignment horizontal="right" vertical="center" wrapText="1"/>
    </xf>
    <xf numFmtId="164" fontId="10" fillId="0" borderId="2" applyAlignment="1" pivotButton="0" quotePrefix="0" xfId="0">
      <alignment horizontal="center" vertical="center"/>
    </xf>
    <xf numFmtId="0" fontId="15" fillId="3" borderId="2" applyAlignment="1" pivotButton="0" quotePrefix="0" xfId="0">
      <alignment horizontal="center" vertical="center"/>
    </xf>
    <xf numFmtId="0" fontId="15" fillId="2" borderId="2" applyAlignment="1" pivotButton="0" quotePrefix="0" xfId="0">
      <alignment horizontal="center" vertical="center" wrapText="1"/>
    </xf>
    <xf numFmtId="1" fontId="10" fillId="0" borderId="2" applyAlignment="1" pivotButton="0" quotePrefix="0" xfId="0">
      <alignment horizontal="center" vertical="center"/>
    </xf>
    <xf numFmtId="0" fontId="10" fillId="0" borderId="2" applyAlignment="1" pivotButton="0" quotePrefix="0" xfId="0">
      <alignment horizontal="center" vertical="center"/>
    </xf>
    <xf numFmtId="1" fontId="16" fillId="0" borderId="2" applyAlignment="1" pivotButton="0" quotePrefix="0" xfId="0">
      <alignment horizontal="center" vertical="center"/>
    </xf>
  </cellXfs>
  <cellStyles count="1">
    <cellStyle name="Normal" xfId="0" builtinId="0" hidden="0"/>
  </cellStyles>
  <dxfs count="1">
    <dxf>
      <font>
        <name val="Arial"/>
        <b val="1"/>
        <color rgb="009C0006"/>
      </font>
      <fill>
        <patternFill patternType="solid">
          <fgColor rgb="00F8D7DA"/>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رصيد النقدية آخر كل شهر</a:t>
            </a:r>
          </a:p>
        </rich>
      </tx>
    </title>
    <plotArea>
      <lineChart>
        <grouping val="standard"/>
        <ser>
          <idx val="0"/>
          <order val="0"/>
          <tx>
            <strRef>
              <f>'الشهور'!G4</f>
            </strRef>
          </tx>
          <spPr>
            <a:ln xmlns:a="http://schemas.openxmlformats.org/drawingml/2006/main" w="28000">
              <a:solidFill>
                <a:srgbClr val="14213D"/>
              </a:solidFill>
              <a:prstDash val="solid"/>
            </a:ln>
          </spPr>
          <marker>
            <symbol val="none"/>
            <spPr>
              <a:ln xmlns:a="http://schemas.openxmlformats.org/drawingml/2006/main">
                <a:prstDash val="solid"/>
              </a:ln>
            </spPr>
          </marker>
          <cat>
            <numRef>
              <f>'الشهور'!$A$5:$A$28</f>
            </numRef>
          </cat>
          <val>
            <numRef>
              <f>'الشهور'!$G$5:$G$28</f>
            </numRef>
          </val>
        </ser>
        <axId val="10"/>
        <axId val="100"/>
      </lineChart>
      <catAx>
        <axId val="10"/>
        <scaling>
          <orientation val="minMax"/>
        </scaling>
        <axPos val="l"/>
        <majorTickMark val="none"/>
        <minorTickMark val="none"/>
        <crossAx val="100"/>
        <lblOffset val="100"/>
      </catAx>
      <valAx>
        <axId val="100"/>
        <scaling>
          <orientation val="minMax"/>
        </scaling>
        <axPos val="l"/>
        <majorTickMark val="none"/>
        <minorTickMark val="none"/>
        <crossAx val="10"/>
      </valAx>
    </plotArea>
    <legend>
      <legendPos val="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drawing1.xml><?xml version="1.0" encoding="utf-8"?>
<wsDr xmlns="http://schemas.openxmlformats.org/drawingml/2006/spreadsheetDrawing">
  <oneCellAnchor>
    <from>
      <col>0</col>
      <colOff>0</colOff>
      <row>29</row>
      <rowOff>0</rowOff>
    </from>
    <ext cx="6480000" cy="252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am-web.com" TargetMode="External" Id="rId1"/></Relationships>
</file>

<file path=xl/worksheets/_rels/sheet4.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A12"/>
  <sheetViews>
    <sheetView showGridLines="0" rightToLeft="1" workbookViewId="0">
      <selection activeCell="A1" sqref="A1"/>
    </sheetView>
  </sheetViews>
  <sheetFormatPr baseColWidth="8" defaultRowHeight="15"/>
  <cols>
    <col width="100" customWidth="1" min="1" max="1"/>
  </cols>
  <sheetData>
    <row r="1" ht="40" customHeight="1">
      <c r="A1" s="1" t="inlineStr">
        <is>
          <t>مجلة المحاسب العربي</t>
        </is>
      </c>
    </row>
    <row r="2" ht="22" customHeight="1">
      <c r="A2" s="2" t="inlineStr">
        <is>
          <t>www.aam-web.com</t>
        </is>
      </c>
    </row>
    <row r="3" ht="8" customHeight="1">
      <c r="A3" s="3" t="n"/>
    </row>
    <row r="4" ht="22" customHeight="1">
      <c r="A4" s="4" t="inlineStr">
        <is>
          <t>من نحن</t>
        </is>
      </c>
    </row>
    <row r="5" ht="36" customHeight="1">
      <c r="A5" s="5" t="inlineStr">
        <is>
          <t>مجلة المحاسب العربي موقع عربي متخصص في المحاسبة والمالية، يقدّم للمحاسبين وأصحاب الأعمال مقالات وشروحًا للمعايير، وقوالب إكسيل وأدوات مالية مجانية.</t>
        </is>
      </c>
    </row>
    <row r="6" ht="8" customHeight="1">
      <c r="A6" s="3" t="n"/>
    </row>
    <row r="7" ht="22" customHeight="1">
      <c r="A7" s="4" t="inlineStr">
        <is>
          <t>ماذا تجد على الموقع</t>
        </is>
      </c>
    </row>
    <row r="8" ht="20" customHeight="1">
      <c r="A8" s="6" t="inlineStr">
        <is>
          <t>•  قوالب إكسيل جاهزة للتحميل المجاني: https://www.aam-web.com/templates</t>
        </is>
      </c>
    </row>
    <row r="9" ht="20" customHeight="1">
      <c r="A9" s="6" t="inlineStr">
        <is>
          <t>•  أدوات مالية مجانية: الزكاة، ضريبة القيمة المضافة، الإهلاك، القروض: https://www.aam-web.com/tools</t>
        </is>
      </c>
    </row>
    <row r="10" ht="20" customHeight="1">
      <c r="A10" s="5" t="inlineStr">
        <is>
          <t>•  شروح المعايير الدولية والمصرية ومقالات المحاسبة العملية</t>
        </is>
      </c>
    </row>
    <row r="11" ht="8" customHeight="1">
      <c r="A11" s="3" t="n"/>
    </row>
    <row r="12" ht="20" customHeight="1">
      <c r="A12" s="7" t="inlineStr">
        <is>
          <t>هذا القالب مجاني للاستخدام في عملك. نرجو عدم إعادة بيعه أو نشره باسم آخر.</t>
        </is>
      </c>
    </row>
  </sheetData>
  <sheetProtection selectLockedCells="0" selectUnlockedCells="0" sheet="1" objects="0" insertRows="1" insertHyperlinks="1" autoFilter="1" scenarios="0" formatColumns="1" deleteColumns="1" insertColumns="1" pivotTables="1" deleteRows="1" formatCells="1" formatRows="1" sort="1"/>
  <hyperlinks>
    <hyperlink xmlns:r="http://schemas.openxmlformats.org/officeDocument/2006/relationships" ref="A2" r:id="rId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2"/>
  <sheetViews>
    <sheetView showGridLines="0" rightToLeft="1" workbookViewId="0">
      <selection activeCell="A1" sqref="A1"/>
    </sheetView>
  </sheetViews>
  <sheetFormatPr baseColWidth="8" defaultRowHeight="15"/>
  <cols>
    <col width="4" customWidth="1" min="1" max="1"/>
    <col width="96" customWidth="1" min="2" max="2"/>
  </cols>
  <sheetData>
    <row r="1" ht="34" customHeight="1">
      <c r="A1" s="8" t="inlineStr">
        <is>
          <t>مدة بقاء النقدية للشركات الناشئة (Runway) ونقطة التعادل</t>
        </is>
      </c>
    </row>
    <row r="2" ht="4" customHeight="1">
      <c r="A2" s="9" t="n"/>
    </row>
    <row r="4" ht="22" customHeight="1">
      <c r="B4" s="10" t="inlineStr">
        <is>
          <t>فكرة القالب</t>
        </is>
      </c>
    </row>
    <row r="5" ht="50" customHeight="1">
      <c r="A5" s="11" t="inlineStr">
        <is>
          <t>•</t>
        </is>
      </c>
      <c r="B5" s="12" t="inlineStr">
        <is>
          <t>للشركات الناشئة: يتوقع الإيراد والتكاليف شهرًا بشهر لـ 24 شهرًا مع نمو شهري، ويحسب صافي الحرق الشهري ورصيد النقدية مع جولة تمويل في شهر محدد، فيظهر أول شهر تنفد فيه النقدية، وشهر التعادل التشغيلي، ومتوسط الحرق.</t>
        </is>
      </c>
    </row>
    <row r="6" ht="22" customHeight="1">
      <c r="B6" s="10" t="inlineStr">
        <is>
          <t>خطوات الاستخدام</t>
        </is>
      </c>
    </row>
    <row r="7" ht="34" customHeight="1">
      <c r="A7" s="11" t="inlineStr">
        <is>
          <t>•</t>
        </is>
      </c>
      <c r="B7" s="12" t="inlineStr">
        <is>
          <t>في ورقة «الافتراضات» اكتب النقدية الحالية والإيراد الشهري الحالي ونسبة النمو الشهري ونسبة التكلفة المباشرة والمصروفات الثابتة ونموها، وشهر جولة التمويل ومبلغها (صفر إن لم توجد).</t>
        </is>
      </c>
    </row>
    <row r="8" ht="22" customHeight="1">
      <c r="B8" s="10" t="inlineStr">
        <is>
          <t>ملاحظات</t>
        </is>
      </c>
    </row>
    <row r="9" ht="34" customHeight="1">
      <c r="A9" s="11" t="inlineStr">
        <is>
          <t>•</t>
        </is>
      </c>
      <c r="B9" s="12" t="inlineStr">
        <is>
          <t>النمو الشهري المرتفع لا يستمر عادة؛ جرّب سيناريو متحفظًا. ابدأ البحث عن التمويل قبل نفاد النقدية بستة أشهر على الأقل. التدفقات هنا تشغيلية مبسطة بدون استثمارات رأسمالية.</t>
        </is>
      </c>
    </row>
    <row r="11" ht="30" customHeight="1">
      <c r="B11" s="13" t="inlineStr">
        <is>
          <t>الخلايا الصفراء للإدخال، وباقي الخلايا معادلات محمية حتى لا تُمسح بالخطأ. لإلغاء الحماية: مراجعة ← إلغاء حماية الورقة (بدون كلمة مرور).</t>
        </is>
      </c>
    </row>
    <row r="12">
      <c r="B12" s="14" t="inlineStr">
        <is>
          <t>قوالب أخرى مجانية: https://www.aam-web.com/templates</t>
        </is>
      </c>
    </row>
  </sheetData>
  <sheetProtection selectLockedCells="0" selectUnlockedCells="0" sheet="1" objects="0" insertRows="1" insertHyperlinks="1" autoFilter="1" scenarios="0" formatColumns="1" deleteColumns="1" insertColumns="1" pivotTables="1" deleteRows="1" formatCells="1" formatRows="1" sort="1"/>
  <mergeCells count="2">
    <mergeCell ref="A2:B2"/>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15"/>
  <sheetViews>
    <sheetView showGridLines="0" rightToLeft="1" workbookViewId="0">
      <selection activeCell="A1" sqref="A1"/>
    </sheetView>
  </sheetViews>
  <sheetFormatPr baseColWidth="8" defaultRowHeight="15"/>
  <cols>
    <col width="44" customWidth="1" min="1" max="1"/>
    <col width="16" customWidth="1" min="2" max="2"/>
  </cols>
  <sheetData>
    <row r="1" ht="30" customHeight="1">
      <c r="A1" s="15" t="inlineStr">
        <is>
          <t>افتراضات الشركة</t>
        </is>
      </c>
      <c r="B1" s="16" t="n"/>
    </row>
    <row r="2" ht="30" customHeight="1">
      <c r="A2" s="17" t="inlineStr">
        <is>
          <t>الخلايا الصفراء للإدخال.</t>
        </is>
      </c>
    </row>
    <row r="3">
      <c r="A3" s="18" t="inlineStr">
        <is>
          <t>النقدية المتاحة حاليًا</t>
        </is>
      </c>
      <c r="B3" s="19" t="n">
        <v>6000000</v>
      </c>
    </row>
    <row r="4">
      <c r="A4" s="18" t="inlineStr">
        <is>
          <t>الإيراد الشهري الحالي</t>
        </is>
      </c>
      <c r="B4" s="19" t="n">
        <v>120000</v>
      </c>
    </row>
    <row r="5">
      <c r="A5" s="18" t="inlineStr">
        <is>
          <t>نسبة نمو الإيراد الشهرية</t>
        </is>
      </c>
      <c r="B5" s="20" t="n">
        <v>0.1</v>
      </c>
    </row>
    <row r="6">
      <c r="A6" s="18" t="inlineStr">
        <is>
          <t>التكلفة المباشرة كنسبة من الإيراد</t>
        </is>
      </c>
      <c r="B6" s="20" t="n">
        <v>0.35</v>
      </c>
    </row>
    <row r="7">
      <c r="A7" s="18" t="inlineStr">
        <is>
          <t>المصروفات الثابتة الشهرية</t>
        </is>
      </c>
      <c r="B7" s="19" t="n">
        <v>520000</v>
      </c>
    </row>
    <row r="8">
      <c r="A8" s="18" t="inlineStr">
        <is>
          <t>نسبة نمو المصروفات الثابتة الشهرية</t>
        </is>
      </c>
      <c r="B8" s="20" t="n">
        <v>0.01</v>
      </c>
    </row>
    <row r="9">
      <c r="A9" s="18" t="inlineStr">
        <is>
          <t>شهر جولة التمويل</t>
        </is>
      </c>
      <c r="B9" s="21" t="n">
        <v>12</v>
      </c>
    </row>
    <row r="10">
      <c r="A10" s="18" t="inlineStr">
        <is>
          <t>مبلغ جولة التمويل</t>
        </is>
      </c>
      <c r="B10" s="19" t="n">
        <v>8000000</v>
      </c>
    </row>
    <row r="12">
      <c r="A12" s="22" t="inlineStr">
        <is>
          <t>متوسط الحرق الشهري لأول 6 أشهر</t>
        </is>
      </c>
      <c r="B12" s="23">
        <f>-AVERAGE('الشهور'!E5:E10)</f>
        <v/>
      </c>
    </row>
    <row r="13">
      <c r="A13" s="18" t="inlineStr">
        <is>
          <t>أول شهر تنفد فيه النقدية</t>
        </is>
      </c>
      <c r="B13" s="24">
        <f>IF(MIN('الشهور'!I5:I28)=0,"لا تنفد خلال 24 شهرًا",MIN('الشهور'!I5:I28))</f>
        <v/>
      </c>
    </row>
    <row r="14">
      <c r="A14" s="18" t="inlineStr">
        <is>
          <t>شهر التعادل التشغيلي</t>
        </is>
      </c>
      <c r="B14" s="24">
        <f>IF(MIN('الشهور'!J5:J28)=0,"بعد 24 شهرًا",MIN('الشهور'!J5:J28))</f>
        <v/>
      </c>
    </row>
    <row r="15">
      <c r="A15" s="22" t="inlineStr">
        <is>
          <t>أقل رصيد نقدية خلال الفترة</t>
        </is>
      </c>
      <c r="B15" s="23">
        <f>MIN('الشهور'!G5:G28)</f>
        <v/>
      </c>
    </row>
  </sheetData>
  <sheetProtection selectLockedCells="0" selectUnlockedCells="0" sheet="1" objects="0" insertRows="1" insertHyperlinks="1" autoFilter="0" scenarios="0" formatColumns="0" deleteColumns="1" insertColumns="1" pivotTables="1" deleteRows="1" formatCells="0" formatRows="0" sort="0"/>
  <mergeCells count="2">
    <mergeCell ref="A2:B2"/>
    <mergeCell ref="A1:B1"/>
  </mergeCells>
  <pageMargins left="0.75" right="0.75" top="1" bottom="1" header="0.5" footer="0.5"/>
</worksheet>
</file>

<file path=xl/worksheets/sheet4.xml><?xml version="1.0" encoding="utf-8"?>
<worksheet xmlns="http://schemas.openxmlformats.org/spreadsheetml/2006/main">
  <sheetPr>
    <outlinePr summaryBelow="1" summaryRight="1"/>
    <pageSetUpPr fitToPage="1"/>
  </sheetPr>
  <dimension ref="A1:J28"/>
  <sheetViews>
    <sheetView showGridLines="0" rightToLeft="1" workbookViewId="0">
      <selection activeCell="A1" sqref="A1"/>
    </sheetView>
  </sheetViews>
  <sheetFormatPr baseColWidth="8" defaultRowHeight="15"/>
  <cols>
    <col width="8" customWidth="1" min="1" max="1"/>
    <col width="13" customWidth="1" min="2" max="2"/>
    <col width="13" customWidth="1" min="3" max="3"/>
    <col width="13" customWidth="1" min="4" max="4"/>
    <col width="14" customWidth="1" min="5" max="5"/>
    <col width="13" customWidth="1" min="6" max="6"/>
    <col width="14" customWidth="1" min="7" max="7"/>
    <col width="10" customWidth="1" min="8" max="8"/>
    <col width="6" customWidth="1" min="9" max="9"/>
    <col width="6" customWidth="1" min="10" max="10"/>
  </cols>
  <sheetData>
    <row r="1" ht="30" customHeight="1">
      <c r="A1" s="15" t="inlineStr">
        <is>
          <t>التوقع الشهري للنقدية</t>
        </is>
      </c>
      <c r="B1" s="16" t="n"/>
      <c r="C1" s="16" t="n"/>
      <c r="D1" s="16" t="n"/>
      <c r="E1" s="16" t="n"/>
      <c r="F1" s="16" t="n"/>
      <c r="G1" s="16" t="n"/>
      <c r="H1" s="16" t="n"/>
    </row>
    <row r="4" ht="30" customHeight="1">
      <c r="A4" s="25" t="inlineStr">
        <is>
          <t>الشهر</t>
        </is>
      </c>
      <c r="B4" s="25" t="inlineStr">
        <is>
          <t>الإيراد</t>
        </is>
      </c>
      <c r="C4" s="25" t="inlineStr">
        <is>
          <t>التكلفة المباشرة</t>
        </is>
      </c>
      <c r="D4" s="25" t="inlineStr">
        <is>
          <t>المصروفات الثابتة</t>
        </is>
      </c>
      <c r="E4" s="25" t="inlineStr">
        <is>
          <t>صافي التدفق</t>
        </is>
      </c>
      <c r="F4" s="25" t="inlineStr">
        <is>
          <t>التمويل</t>
        </is>
      </c>
      <c r="G4" s="25" t="inlineStr">
        <is>
          <t>النقدية آخر الشهر</t>
        </is>
      </c>
      <c r="H4" s="25" t="inlineStr">
        <is>
          <t>الحالة</t>
        </is>
      </c>
      <c r="I4" s="25" t="inlineStr"/>
      <c r="J4" s="25" t="inlineStr"/>
    </row>
    <row r="5">
      <c r="A5" s="26">
        <f>1</f>
        <v/>
      </c>
      <c r="B5" s="23">
        <f>'الافتراضات'!$B$4*(1+'الافتراضات'!$B$5)^0</f>
        <v/>
      </c>
      <c r="C5" s="23">
        <f>B5*'الافتراضات'!$B$6</f>
        <v/>
      </c>
      <c r="D5" s="23">
        <f>'الافتراضات'!$B$7*(1+'الافتراضات'!$B$8)^0</f>
        <v/>
      </c>
      <c r="E5" s="23">
        <f>B5-C5-D5</f>
        <v/>
      </c>
      <c r="F5" s="23">
        <f>IF(A5='الافتراضات'!$B$9,'الافتراضات'!$B$10,0)</f>
        <v/>
      </c>
      <c r="G5" s="23">
        <f>'الافتراضات'!$B$3+E5+F5</f>
        <v/>
      </c>
      <c r="H5" s="27">
        <f>IF(G5&lt;0,"عجز","")</f>
        <v/>
      </c>
      <c r="I5" s="28">
        <f>IF(G5&lt;0,A5,"")</f>
        <v/>
      </c>
      <c r="J5" s="28">
        <f>IF(E5&gt;=0,A5,"")</f>
        <v/>
      </c>
    </row>
    <row r="6">
      <c r="A6" s="26">
        <f>2</f>
        <v/>
      </c>
      <c r="B6" s="23">
        <f>'الافتراضات'!$B$4*(1+'الافتراضات'!$B$5)^1</f>
        <v/>
      </c>
      <c r="C6" s="23">
        <f>B6*'الافتراضات'!$B$6</f>
        <v/>
      </c>
      <c r="D6" s="23">
        <f>'الافتراضات'!$B$7*(1+'الافتراضات'!$B$8)^1</f>
        <v/>
      </c>
      <c r="E6" s="23">
        <f>B6-C6-D6</f>
        <v/>
      </c>
      <c r="F6" s="23">
        <f>IF(A6='الافتراضات'!$B$9,'الافتراضات'!$B$10,0)</f>
        <v/>
      </c>
      <c r="G6" s="23">
        <f>G5+E6+F6</f>
        <v/>
      </c>
      <c r="H6" s="27">
        <f>IF(G6&lt;0,"عجز","")</f>
        <v/>
      </c>
      <c r="I6" s="28">
        <f>IF(G6&lt;0,A6,"")</f>
        <v/>
      </c>
      <c r="J6" s="28">
        <f>IF(E6&gt;=0,A6,"")</f>
        <v/>
      </c>
    </row>
    <row r="7">
      <c r="A7" s="26">
        <f>3</f>
        <v/>
      </c>
      <c r="B7" s="23">
        <f>'الافتراضات'!$B$4*(1+'الافتراضات'!$B$5)^2</f>
        <v/>
      </c>
      <c r="C7" s="23">
        <f>B7*'الافتراضات'!$B$6</f>
        <v/>
      </c>
      <c r="D7" s="23">
        <f>'الافتراضات'!$B$7*(1+'الافتراضات'!$B$8)^2</f>
        <v/>
      </c>
      <c r="E7" s="23">
        <f>B7-C7-D7</f>
        <v/>
      </c>
      <c r="F7" s="23">
        <f>IF(A7='الافتراضات'!$B$9,'الافتراضات'!$B$10,0)</f>
        <v/>
      </c>
      <c r="G7" s="23">
        <f>G6+E7+F7</f>
        <v/>
      </c>
      <c r="H7" s="27">
        <f>IF(G7&lt;0,"عجز","")</f>
        <v/>
      </c>
      <c r="I7" s="28">
        <f>IF(G7&lt;0,A7,"")</f>
        <v/>
      </c>
      <c r="J7" s="28">
        <f>IF(E7&gt;=0,A7,"")</f>
        <v/>
      </c>
    </row>
    <row r="8">
      <c r="A8" s="26">
        <f>4</f>
        <v/>
      </c>
      <c r="B8" s="23">
        <f>'الافتراضات'!$B$4*(1+'الافتراضات'!$B$5)^3</f>
        <v/>
      </c>
      <c r="C8" s="23">
        <f>B8*'الافتراضات'!$B$6</f>
        <v/>
      </c>
      <c r="D8" s="23">
        <f>'الافتراضات'!$B$7*(1+'الافتراضات'!$B$8)^3</f>
        <v/>
      </c>
      <c r="E8" s="23">
        <f>B8-C8-D8</f>
        <v/>
      </c>
      <c r="F8" s="23">
        <f>IF(A8='الافتراضات'!$B$9,'الافتراضات'!$B$10,0)</f>
        <v/>
      </c>
      <c r="G8" s="23">
        <f>G7+E8+F8</f>
        <v/>
      </c>
      <c r="H8" s="27">
        <f>IF(G8&lt;0,"عجز","")</f>
        <v/>
      </c>
      <c r="I8" s="28">
        <f>IF(G8&lt;0,A8,"")</f>
        <v/>
      </c>
      <c r="J8" s="28">
        <f>IF(E8&gt;=0,A8,"")</f>
        <v/>
      </c>
    </row>
    <row r="9">
      <c r="A9" s="26">
        <f>5</f>
        <v/>
      </c>
      <c r="B9" s="23">
        <f>'الافتراضات'!$B$4*(1+'الافتراضات'!$B$5)^4</f>
        <v/>
      </c>
      <c r="C9" s="23">
        <f>B9*'الافتراضات'!$B$6</f>
        <v/>
      </c>
      <c r="D9" s="23">
        <f>'الافتراضات'!$B$7*(1+'الافتراضات'!$B$8)^4</f>
        <v/>
      </c>
      <c r="E9" s="23">
        <f>B9-C9-D9</f>
        <v/>
      </c>
      <c r="F9" s="23">
        <f>IF(A9='الافتراضات'!$B$9,'الافتراضات'!$B$10,0)</f>
        <v/>
      </c>
      <c r="G9" s="23">
        <f>G8+E9+F9</f>
        <v/>
      </c>
      <c r="H9" s="27">
        <f>IF(G9&lt;0,"عجز","")</f>
        <v/>
      </c>
      <c r="I9" s="28">
        <f>IF(G9&lt;0,A9,"")</f>
        <v/>
      </c>
      <c r="J9" s="28">
        <f>IF(E9&gt;=0,A9,"")</f>
        <v/>
      </c>
    </row>
    <row r="10">
      <c r="A10" s="26">
        <f>6</f>
        <v/>
      </c>
      <c r="B10" s="23">
        <f>'الافتراضات'!$B$4*(1+'الافتراضات'!$B$5)^5</f>
        <v/>
      </c>
      <c r="C10" s="23">
        <f>B10*'الافتراضات'!$B$6</f>
        <v/>
      </c>
      <c r="D10" s="23">
        <f>'الافتراضات'!$B$7*(1+'الافتراضات'!$B$8)^5</f>
        <v/>
      </c>
      <c r="E10" s="23">
        <f>B10-C10-D10</f>
        <v/>
      </c>
      <c r="F10" s="23">
        <f>IF(A10='الافتراضات'!$B$9,'الافتراضات'!$B$10,0)</f>
        <v/>
      </c>
      <c r="G10" s="23">
        <f>G9+E10+F10</f>
        <v/>
      </c>
      <c r="H10" s="27">
        <f>IF(G10&lt;0,"عجز","")</f>
        <v/>
      </c>
      <c r="I10" s="28">
        <f>IF(G10&lt;0,A10,"")</f>
        <v/>
      </c>
      <c r="J10" s="28">
        <f>IF(E10&gt;=0,A10,"")</f>
        <v/>
      </c>
    </row>
    <row r="11">
      <c r="A11" s="26">
        <f>7</f>
        <v/>
      </c>
      <c r="B11" s="23">
        <f>'الافتراضات'!$B$4*(1+'الافتراضات'!$B$5)^6</f>
        <v/>
      </c>
      <c r="C11" s="23">
        <f>B11*'الافتراضات'!$B$6</f>
        <v/>
      </c>
      <c r="D11" s="23">
        <f>'الافتراضات'!$B$7*(1+'الافتراضات'!$B$8)^6</f>
        <v/>
      </c>
      <c r="E11" s="23">
        <f>B11-C11-D11</f>
        <v/>
      </c>
      <c r="F11" s="23">
        <f>IF(A11='الافتراضات'!$B$9,'الافتراضات'!$B$10,0)</f>
        <v/>
      </c>
      <c r="G11" s="23">
        <f>G10+E11+F11</f>
        <v/>
      </c>
      <c r="H11" s="27">
        <f>IF(G11&lt;0,"عجز","")</f>
        <v/>
      </c>
      <c r="I11" s="28">
        <f>IF(G11&lt;0,A11,"")</f>
        <v/>
      </c>
      <c r="J11" s="28">
        <f>IF(E11&gt;=0,A11,"")</f>
        <v/>
      </c>
    </row>
    <row r="12">
      <c r="A12" s="26">
        <f>8</f>
        <v/>
      </c>
      <c r="B12" s="23">
        <f>'الافتراضات'!$B$4*(1+'الافتراضات'!$B$5)^7</f>
        <v/>
      </c>
      <c r="C12" s="23">
        <f>B12*'الافتراضات'!$B$6</f>
        <v/>
      </c>
      <c r="D12" s="23">
        <f>'الافتراضات'!$B$7*(1+'الافتراضات'!$B$8)^7</f>
        <v/>
      </c>
      <c r="E12" s="23">
        <f>B12-C12-D12</f>
        <v/>
      </c>
      <c r="F12" s="23">
        <f>IF(A12='الافتراضات'!$B$9,'الافتراضات'!$B$10,0)</f>
        <v/>
      </c>
      <c r="G12" s="23">
        <f>G11+E12+F12</f>
        <v/>
      </c>
      <c r="H12" s="27">
        <f>IF(G12&lt;0,"عجز","")</f>
        <v/>
      </c>
      <c r="I12" s="28">
        <f>IF(G12&lt;0,A12,"")</f>
        <v/>
      </c>
      <c r="J12" s="28">
        <f>IF(E12&gt;=0,A12,"")</f>
        <v/>
      </c>
    </row>
    <row r="13">
      <c r="A13" s="26">
        <f>9</f>
        <v/>
      </c>
      <c r="B13" s="23">
        <f>'الافتراضات'!$B$4*(1+'الافتراضات'!$B$5)^8</f>
        <v/>
      </c>
      <c r="C13" s="23">
        <f>B13*'الافتراضات'!$B$6</f>
        <v/>
      </c>
      <c r="D13" s="23">
        <f>'الافتراضات'!$B$7*(1+'الافتراضات'!$B$8)^8</f>
        <v/>
      </c>
      <c r="E13" s="23">
        <f>B13-C13-D13</f>
        <v/>
      </c>
      <c r="F13" s="23">
        <f>IF(A13='الافتراضات'!$B$9,'الافتراضات'!$B$10,0)</f>
        <v/>
      </c>
      <c r="G13" s="23">
        <f>G12+E13+F13</f>
        <v/>
      </c>
      <c r="H13" s="27">
        <f>IF(G13&lt;0,"عجز","")</f>
        <v/>
      </c>
      <c r="I13" s="28">
        <f>IF(G13&lt;0,A13,"")</f>
        <v/>
      </c>
      <c r="J13" s="28">
        <f>IF(E13&gt;=0,A13,"")</f>
        <v/>
      </c>
    </row>
    <row r="14">
      <c r="A14" s="26">
        <f>10</f>
        <v/>
      </c>
      <c r="B14" s="23">
        <f>'الافتراضات'!$B$4*(1+'الافتراضات'!$B$5)^9</f>
        <v/>
      </c>
      <c r="C14" s="23">
        <f>B14*'الافتراضات'!$B$6</f>
        <v/>
      </c>
      <c r="D14" s="23">
        <f>'الافتراضات'!$B$7*(1+'الافتراضات'!$B$8)^9</f>
        <v/>
      </c>
      <c r="E14" s="23">
        <f>B14-C14-D14</f>
        <v/>
      </c>
      <c r="F14" s="23">
        <f>IF(A14='الافتراضات'!$B$9,'الافتراضات'!$B$10,0)</f>
        <v/>
      </c>
      <c r="G14" s="23">
        <f>G13+E14+F14</f>
        <v/>
      </c>
      <c r="H14" s="27">
        <f>IF(G14&lt;0,"عجز","")</f>
        <v/>
      </c>
      <c r="I14" s="28">
        <f>IF(G14&lt;0,A14,"")</f>
        <v/>
      </c>
      <c r="J14" s="28">
        <f>IF(E14&gt;=0,A14,"")</f>
        <v/>
      </c>
    </row>
    <row r="15">
      <c r="A15" s="26">
        <f>11</f>
        <v/>
      </c>
      <c r="B15" s="23">
        <f>'الافتراضات'!$B$4*(1+'الافتراضات'!$B$5)^10</f>
        <v/>
      </c>
      <c r="C15" s="23">
        <f>B15*'الافتراضات'!$B$6</f>
        <v/>
      </c>
      <c r="D15" s="23">
        <f>'الافتراضات'!$B$7*(1+'الافتراضات'!$B$8)^10</f>
        <v/>
      </c>
      <c r="E15" s="23">
        <f>B15-C15-D15</f>
        <v/>
      </c>
      <c r="F15" s="23">
        <f>IF(A15='الافتراضات'!$B$9,'الافتراضات'!$B$10,0)</f>
        <v/>
      </c>
      <c r="G15" s="23">
        <f>G14+E15+F15</f>
        <v/>
      </c>
      <c r="H15" s="27">
        <f>IF(G15&lt;0,"عجز","")</f>
        <v/>
      </c>
      <c r="I15" s="28">
        <f>IF(G15&lt;0,A15,"")</f>
        <v/>
      </c>
      <c r="J15" s="28">
        <f>IF(E15&gt;=0,A15,"")</f>
        <v/>
      </c>
    </row>
    <row r="16">
      <c r="A16" s="26">
        <f>12</f>
        <v/>
      </c>
      <c r="B16" s="23">
        <f>'الافتراضات'!$B$4*(1+'الافتراضات'!$B$5)^11</f>
        <v/>
      </c>
      <c r="C16" s="23">
        <f>B16*'الافتراضات'!$B$6</f>
        <v/>
      </c>
      <c r="D16" s="23">
        <f>'الافتراضات'!$B$7*(1+'الافتراضات'!$B$8)^11</f>
        <v/>
      </c>
      <c r="E16" s="23">
        <f>B16-C16-D16</f>
        <v/>
      </c>
      <c r="F16" s="23">
        <f>IF(A16='الافتراضات'!$B$9,'الافتراضات'!$B$10,0)</f>
        <v/>
      </c>
      <c r="G16" s="23">
        <f>G15+E16+F16</f>
        <v/>
      </c>
      <c r="H16" s="27">
        <f>IF(G16&lt;0,"عجز","")</f>
        <v/>
      </c>
      <c r="I16" s="28">
        <f>IF(G16&lt;0,A16,"")</f>
        <v/>
      </c>
      <c r="J16" s="28">
        <f>IF(E16&gt;=0,A16,"")</f>
        <v/>
      </c>
    </row>
    <row r="17">
      <c r="A17" s="26">
        <f>13</f>
        <v/>
      </c>
      <c r="B17" s="23">
        <f>'الافتراضات'!$B$4*(1+'الافتراضات'!$B$5)^12</f>
        <v/>
      </c>
      <c r="C17" s="23">
        <f>B17*'الافتراضات'!$B$6</f>
        <v/>
      </c>
      <c r="D17" s="23">
        <f>'الافتراضات'!$B$7*(1+'الافتراضات'!$B$8)^12</f>
        <v/>
      </c>
      <c r="E17" s="23">
        <f>B17-C17-D17</f>
        <v/>
      </c>
      <c r="F17" s="23">
        <f>IF(A17='الافتراضات'!$B$9,'الافتراضات'!$B$10,0)</f>
        <v/>
      </c>
      <c r="G17" s="23">
        <f>G16+E17+F17</f>
        <v/>
      </c>
      <c r="H17" s="27">
        <f>IF(G17&lt;0,"عجز","")</f>
        <v/>
      </c>
      <c r="I17" s="28">
        <f>IF(G17&lt;0,A17,"")</f>
        <v/>
      </c>
      <c r="J17" s="28">
        <f>IF(E17&gt;=0,A17,"")</f>
        <v/>
      </c>
    </row>
    <row r="18">
      <c r="A18" s="26">
        <f>14</f>
        <v/>
      </c>
      <c r="B18" s="23">
        <f>'الافتراضات'!$B$4*(1+'الافتراضات'!$B$5)^13</f>
        <v/>
      </c>
      <c r="C18" s="23">
        <f>B18*'الافتراضات'!$B$6</f>
        <v/>
      </c>
      <c r="D18" s="23">
        <f>'الافتراضات'!$B$7*(1+'الافتراضات'!$B$8)^13</f>
        <v/>
      </c>
      <c r="E18" s="23">
        <f>B18-C18-D18</f>
        <v/>
      </c>
      <c r="F18" s="23">
        <f>IF(A18='الافتراضات'!$B$9,'الافتراضات'!$B$10,0)</f>
        <v/>
      </c>
      <c r="G18" s="23">
        <f>G17+E18+F18</f>
        <v/>
      </c>
      <c r="H18" s="27">
        <f>IF(G18&lt;0,"عجز","")</f>
        <v/>
      </c>
      <c r="I18" s="28">
        <f>IF(G18&lt;0,A18,"")</f>
        <v/>
      </c>
      <c r="J18" s="28">
        <f>IF(E18&gt;=0,A18,"")</f>
        <v/>
      </c>
    </row>
    <row r="19">
      <c r="A19" s="26">
        <f>15</f>
        <v/>
      </c>
      <c r="B19" s="23">
        <f>'الافتراضات'!$B$4*(1+'الافتراضات'!$B$5)^14</f>
        <v/>
      </c>
      <c r="C19" s="23">
        <f>B19*'الافتراضات'!$B$6</f>
        <v/>
      </c>
      <c r="D19" s="23">
        <f>'الافتراضات'!$B$7*(1+'الافتراضات'!$B$8)^14</f>
        <v/>
      </c>
      <c r="E19" s="23">
        <f>B19-C19-D19</f>
        <v/>
      </c>
      <c r="F19" s="23">
        <f>IF(A19='الافتراضات'!$B$9,'الافتراضات'!$B$10,0)</f>
        <v/>
      </c>
      <c r="G19" s="23">
        <f>G18+E19+F19</f>
        <v/>
      </c>
      <c r="H19" s="27">
        <f>IF(G19&lt;0,"عجز","")</f>
        <v/>
      </c>
      <c r="I19" s="28">
        <f>IF(G19&lt;0,A19,"")</f>
        <v/>
      </c>
      <c r="J19" s="28">
        <f>IF(E19&gt;=0,A19,"")</f>
        <v/>
      </c>
    </row>
    <row r="20">
      <c r="A20" s="26">
        <f>16</f>
        <v/>
      </c>
      <c r="B20" s="23">
        <f>'الافتراضات'!$B$4*(1+'الافتراضات'!$B$5)^15</f>
        <v/>
      </c>
      <c r="C20" s="23">
        <f>B20*'الافتراضات'!$B$6</f>
        <v/>
      </c>
      <c r="D20" s="23">
        <f>'الافتراضات'!$B$7*(1+'الافتراضات'!$B$8)^15</f>
        <v/>
      </c>
      <c r="E20" s="23">
        <f>B20-C20-D20</f>
        <v/>
      </c>
      <c r="F20" s="23">
        <f>IF(A20='الافتراضات'!$B$9,'الافتراضات'!$B$10,0)</f>
        <v/>
      </c>
      <c r="G20" s="23">
        <f>G19+E20+F20</f>
        <v/>
      </c>
      <c r="H20" s="27">
        <f>IF(G20&lt;0,"عجز","")</f>
        <v/>
      </c>
      <c r="I20" s="28">
        <f>IF(G20&lt;0,A20,"")</f>
        <v/>
      </c>
      <c r="J20" s="28">
        <f>IF(E20&gt;=0,A20,"")</f>
        <v/>
      </c>
    </row>
    <row r="21">
      <c r="A21" s="26">
        <f>17</f>
        <v/>
      </c>
      <c r="B21" s="23">
        <f>'الافتراضات'!$B$4*(1+'الافتراضات'!$B$5)^16</f>
        <v/>
      </c>
      <c r="C21" s="23">
        <f>B21*'الافتراضات'!$B$6</f>
        <v/>
      </c>
      <c r="D21" s="23">
        <f>'الافتراضات'!$B$7*(1+'الافتراضات'!$B$8)^16</f>
        <v/>
      </c>
      <c r="E21" s="23">
        <f>B21-C21-D21</f>
        <v/>
      </c>
      <c r="F21" s="23">
        <f>IF(A21='الافتراضات'!$B$9,'الافتراضات'!$B$10,0)</f>
        <v/>
      </c>
      <c r="G21" s="23">
        <f>G20+E21+F21</f>
        <v/>
      </c>
      <c r="H21" s="27">
        <f>IF(G21&lt;0,"عجز","")</f>
        <v/>
      </c>
      <c r="I21" s="28">
        <f>IF(G21&lt;0,A21,"")</f>
        <v/>
      </c>
      <c r="J21" s="28">
        <f>IF(E21&gt;=0,A21,"")</f>
        <v/>
      </c>
    </row>
    <row r="22">
      <c r="A22" s="26">
        <f>18</f>
        <v/>
      </c>
      <c r="B22" s="23">
        <f>'الافتراضات'!$B$4*(1+'الافتراضات'!$B$5)^17</f>
        <v/>
      </c>
      <c r="C22" s="23">
        <f>B22*'الافتراضات'!$B$6</f>
        <v/>
      </c>
      <c r="D22" s="23">
        <f>'الافتراضات'!$B$7*(1+'الافتراضات'!$B$8)^17</f>
        <v/>
      </c>
      <c r="E22" s="23">
        <f>B22-C22-D22</f>
        <v/>
      </c>
      <c r="F22" s="23">
        <f>IF(A22='الافتراضات'!$B$9,'الافتراضات'!$B$10,0)</f>
        <v/>
      </c>
      <c r="G22" s="23">
        <f>G21+E22+F22</f>
        <v/>
      </c>
      <c r="H22" s="27">
        <f>IF(G22&lt;0,"عجز","")</f>
        <v/>
      </c>
      <c r="I22" s="28">
        <f>IF(G22&lt;0,A22,"")</f>
        <v/>
      </c>
      <c r="J22" s="28">
        <f>IF(E22&gt;=0,A22,"")</f>
        <v/>
      </c>
    </row>
    <row r="23">
      <c r="A23" s="26">
        <f>19</f>
        <v/>
      </c>
      <c r="B23" s="23">
        <f>'الافتراضات'!$B$4*(1+'الافتراضات'!$B$5)^18</f>
        <v/>
      </c>
      <c r="C23" s="23">
        <f>B23*'الافتراضات'!$B$6</f>
        <v/>
      </c>
      <c r="D23" s="23">
        <f>'الافتراضات'!$B$7*(1+'الافتراضات'!$B$8)^18</f>
        <v/>
      </c>
      <c r="E23" s="23">
        <f>B23-C23-D23</f>
        <v/>
      </c>
      <c r="F23" s="23">
        <f>IF(A23='الافتراضات'!$B$9,'الافتراضات'!$B$10,0)</f>
        <v/>
      </c>
      <c r="G23" s="23">
        <f>G22+E23+F23</f>
        <v/>
      </c>
      <c r="H23" s="27">
        <f>IF(G23&lt;0,"عجز","")</f>
        <v/>
      </c>
      <c r="I23" s="28">
        <f>IF(G23&lt;0,A23,"")</f>
        <v/>
      </c>
      <c r="J23" s="28">
        <f>IF(E23&gt;=0,A23,"")</f>
        <v/>
      </c>
    </row>
    <row r="24">
      <c r="A24" s="26">
        <f>20</f>
        <v/>
      </c>
      <c r="B24" s="23">
        <f>'الافتراضات'!$B$4*(1+'الافتراضات'!$B$5)^19</f>
        <v/>
      </c>
      <c r="C24" s="23">
        <f>B24*'الافتراضات'!$B$6</f>
        <v/>
      </c>
      <c r="D24" s="23">
        <f>'الافتراضات'!$B$7*(1+'الافتراضات'!$B$8)^19</f>
        <v/>
      </c>
      <c r="E24" s="23">
        <f>B24-C24-D24</f>
        <v/>
      </c>
      <c r="F24" s="23">
        <f>IF(A24='الافتراضات'!$B$9,'الافتراضات'!$B$10,0)</f>
        <v/>
      </c>
      <c r="G24" s="23">
        <f>G23+E24+F24</f>
        <v/>
      </c>
      <c r="H24" s="27">
        <f>IF(G24&lt;0,"عجز","")</f>
        <v/>
      </c>
      <c r="I24" s="28">
        <f>IF(G24&lt;0,A24,"")</f>
        <v/>
      </c>
      <c r="J24" s="28">
        <f>IF(E24&gt;=0,A24,"")</f>
        <v/>
      </c>
    </row>
    <row r="25">
      <c r="A25" s="26">
        <f>21</f>
        <v/>
      </c>
      <c r="B25" s="23">
        <f>'الافتراضات'!$B$4*(1+'الافتراضات'!$B$5)^20</f>
        <v/>
      </c>
      <c r="C25" s="23">
        <f>B25*'الافتراضات'!$B$6</f>
        <v/>
      </c>
      <c r="D25" s="23">
        <f>'الافتراضات'!$B$7*(1+'الافتراضات'!$B$8)^20</f>
        <v/>
      </c>
      <c r="E25" s="23">
        <f>B25-C25-D25</f>
        <v/>
      </c>
      <c r="F25" s="23">
        <f>IF(A25='الافتراضات'!$B$9,'الافتراضات'!$B$10,0)</f>
        <v/>
      </c>
      <c r="G25" s="23">
        <f>G24+E25+F25</f>
        <v/>
      </c>
      <c r="H25" s="27">
        <f>IF(G25&lt;0,"عجز","")</f>
        <v/>
      </c>
      <c r="I25" s="28">
        <f>IF(G25&lt;0,A25,"")</f>
        <v/>
      </c>
      <c r="J25" s="28">
        <f>IF(E25&gt;=0,A25,"")</f>
        <v/>
      </c>
    </row>
    <row r="26">
      <c r="A26" s="26">
        <f>22</f>
        <v/>
      </c>
      <c r="B26" s="23">
        <f>'الافتراضات'!$B$4*(1+'الافتراضات'!$B$5)^21</f>
        <v/>
      </c>
      <c r="C26" s="23">
        <f>B26*'الافتراضات'!$B$6</f>
        <v/>
      </c>
      <c r="D26" s="23">
        <f>'الافتراضات'!$B$7*(1+'الافتراضات'!$B$8)^21</f>
        <v/>
      </c>
      <c r="E26" s="23">
        <f>B26-C26-D26</f>
        <v/>
      </c>
      <c r="F26" s="23">
        <f>IF(A26='الافتراضات'!$B$9,'الافتراضات'!$B$10,0)</f>
        <v/>
      </c>
      <c r="G26" s="23">
        <f>G25+E26+F26</f>
        <v/>
      </c>
      <c r="H26" s="27">
        <f>IF(G26&lt;0,"عجز","")</f>
        <v/>
      </c>
      <c r="I26" s="28">
        <f>IF(G26&lt;0,A26,"")</f>
        <v/>
      </c>
      <c r="J26" s="28">
        <f>IF(E26&gt;=0,A26,"")</f>
        <v/>
      </c>
    </row>
    <row r="27">
      <c r="A27" s="26">
        <f>23</f>
        <v/>
      </c>
      <c r="B27" s="23">
        <f>'الافتراضات'!$B$4*(1+'الافتراضات'!$B$5)^22</f>
        <v/>
      </c>
      <c r="C27" s="23">
        <f>B27*'الافتراضات'!$B$6</f>
        <v/>
      </c>
      <c r="D27" s="23">
        <f>'الافتراضات'!$B$7*(1+'الافتراضات'!$B$8)^22</f>
        <v/>
      </c>
      <c r="E27" s="23">
        <f>B27-C27-D27</f>
        <v/>
      </c>
      <c r="F27" s="23">
        <f>IF(A27='الافتراضات'!$B$9,'الافتراضات'!$B$10,0)</f>
        <v/>
      </c>
      <c r="G27" s="23">
        <f>G26+E27+F27</f>
        <v/>
      </c>
      <c r="H27" s="27">
        <f>IF(G27&lt;0,"عجز","")</f>
        <v/>
      </c>
      <c r="I27" s="28">
        <f>IF(G27&lt;0,A27,"")</f>
        <v/>
      </c>
      <c r="J27" s="28">
        <f>IF(E27&gt;=0,A27,"")</f>
        <v/>
      </c>
    </row>
    <row r="28">
      <c r="A28" s="26">
        <f>24</f>
        <v/>
      </c>
      <c r="B28" s="23">
        <f>'الافتراضات'!$B$4*(1+'الافتراضات'!$B$5)^23</f>
        <v/>
      </c>
      <c r="C28" s="23">
        <f>B28*'الافتراضات'!$B$6</f>
        <v/>
      </c>
      <c r="D28" s="23">
        <f>'الافتراضات'!$B$7*(1+'الافتراضات'!$B$8)^23</f>
        <v/>
      </c>
      <c r="E28" s="23">
        <f>B28-C28-D28</f>
        <v/>
      </c>
      <c r="F28" s="23">
        <f>IF(A28='الافتراضات'!$B$9,'الافتراضات'!$B$10,0)</f>
        <v/>
      </c>
      <c r="G28" s="23">
        <f>G27+E28+F28</f>
        <v/>
      </c>
      <c r="H28" s="27">
        <f>IF(G28&lt;0,"عجز","")</f>
        <v/>
      </c>
      <c r="I28" s="28">
        <f>IF(G28&lt;0,A28,"")</f>
        <v/>
      </c>
      <c r="J28" s="28">
        <f>IF(E28&gt;=0,A28,"")</f>
        <v/>
      </c>
    </row>
  </sheetData>
  <sheetProtection selectLockedCells="0" selectUnlockedCells="0" sheet="1" objects="0" insertRows="1" insertHyperlinks="1" autoFilter="0" scenarios="0" formatColumns="0" deleteColumns="1" insertColumns="1" pivotTables="1" deleteRows="1" formatCells="0" formatRows="0" sort="0"/>
  <mergeCells count="1">
    <mergeCell ref="A1:H1"/>
  </mergeCells>
  <conditionalFormatting sqref="H5:H28">
    <cfRule type="cellIs" priority="1" operator="equal" dxfId="0">
      <formula>"عجز"</formula>
    </cfRule>
  </conditionalFormatting>
  <conditionalFormatting sqref="G5:G28">
    <cfRule type="cellIs" priority="2" operator="lessThan" dxfId="0">
      <formula>0</formula>
    </cfRule>
  </conditionalFormatting>
  <pageMargins left="0.75" right="0.75" top="1" bottom="1" header="0.5" footer="0.5"/>
  <pageSetup orientation="landscape" fitToHeight="0" fitToWidth="1"/>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2026-10-29T10:48:29Z</dcterms:created>
  <dcterms:modified xmlns:dcterms="http://purl.org/dc/terms/" xmlns:xsi="http://www.w3.org/2001/XMLSchema-instance" xsi:type="dcterms:W3CDTF">2026-10-29T10:48:29Z</dcterms:modified>
</cp:coreProperties>
</file>